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l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O22" i="1"/>
  <c r="O21" i="1"/>
  <c r="O20" i="1"/>
  <c r="O19" i="1"/>
  <c r="O18" i="1"/>
  <c r="O17" i="1"/>
  <c r="O13" i="1"/>
  <c r="O12" i="1"/>
  <c r="O11" i="1"/>
  <c r="O9" i="1"/>
  <c r="O8" i="1"/>
  <c r="O6" i="1"/>
  <c r="N14" i="4" l="1"/>
  <c r="N13" i="4"/>
  <c r="N12" i="4"/>
  <c r="N11" i="4"/>
  <c r="N10" i="4"/>
  <c r="N9" i="4"/>
  <c r="N7" i="4"/>
  <c r="N6" i="4"/>
  <c r="N5" i="4"/>
  <c r="G39" i="1" l="1"/>
  <c r="F39" i="1"/>
  <c r="H39" i="1" s="1"/>
  <c r="G12" i="4" l="1"/>
  <c r="G9" i="4"/>
  <c r="G6" i="4"/>
  <c r="H14" i="4"/>
  <c r="G14" i="4"/>
  <c r="H13" i="4"/>
  <c r="G13" i="4"/>
  <c r="H12" i="4"/>
  <c r="H11" i="4"/>
  <c r="G11" i="4"/>
  <c r="H10" i="4"/>
  <c r="G10" i="4"/>
  <c r="H9" i="4"/>
  <c r="H7" i="4"/>
  <c r="G7" i="4"/>
  <c r="H6" i="4"/>
  <c r="H5" i="4"/>
  <c r="G5" i="4"/>
  <c r="F21" i="4" l="1"/>
  <c r="G22" i="4" s="1"/>
  <c r="D14" i="4"/>
  <c r="B13" i="4"/>
  <c r="D12" i="4"/>
  <c r="D11" i="4"/>
  <c r="B32" i="4"/>
  <c r="B10" i="4"/>
  <c r="B31" i="4"/>
  <c r="D9" i="4"/>
  <c r="B30" i="4"/>
  <c r="H8" i="4"/>
  <c r="G8" i="4"/>
  <c r="D8" i="4"/>
  <c r="B29" i="4"/>
  <c r="B7" i="4"/>
  <c r="B28" i="4"/>
  <c r="D6" i="4"/>
  <c r="B27" i="4"/>
  <c r="D5" i="4"/>
  <c r="I5" i="4" l="1"/>
  <c r="K5" i="4" s="1"/>
  <c r="I6" i="4"/>
  <c r="K6" i="4" s="1"/>
  <c r="I7" i="4"/>
  <c r="K7" i="4" s="1"/>
  <c r="I8" i="4"/>
  <c r="K8" i="4" s="1"/>
  <c r="I9" i="4"/>
  <c r="K9" i="4" s="1"/>
  <c r="I10" i="4"/>
  <c r="K10" i="4" s="1"/>
  <c r="I11" i="4"/>
  <c r="J11" i="4" s="1"/>
  <c r="J6" i="4"/>
  <c r="J10" i="4"/>
  <c r="I12" i="4"/>
  <c r="K12" i="4" s="1"/>
  <c r="I13" i="4"/>
  <c r="K13" i="4" s="1"/>
  <c r="I14" i="4"/>
  <c r="J14" i="4" s="1"/>
  <c r="J8" i="4" l="1"/>
  <c r="J17" i="4" s="1"/>
  <c r="J13" i="4"/>
  <c r="J9" i="4"/>
  <c r="J5" i="4"/>
  <c r="K11" i="4"/>
  <c r="L11" i="4" s="1"/>
  <c r="M11" i="4" s="1"/>
  <c r="K14" i="4"/>
  <c r="L14" i="4" s="1"/>
  <c r="M14" i="4" s="1"/>
  <c r="L12" i="4"/>
  <c r="M12" i="4" s="1"/>
  <c r="L10" i="4"/>
  <c r="M10" i="4" s="1"/>
  <c r="L8" i="4"/>
  <c r="M8" i="4" s="1"/>
  <c r="N8" i="4" s="1"/>
  <c r="L6" i="4"/>
  <c r="M6" i="4" s="1"/>
  <c r="L9" i="4"/>
  <c r="M9" i="4" s="1"/>
  <c r="L7" i="4"/>
  <c r="M7" i="4" s="1"/>
  <c r="L5" i="4"/>
  <c r="M5" i="4" s="1"/>
  <c r="L13" i="4"/>
  <c r="M13" i="4"/>
  <c r="J12" i="4"/>
  <c r="B4" i="1" l="1"/>
  <c r="F37" i="1" s="1"/>
  <c r="F34" i="1"/>
  <c r="B40" i="1"/>
  <c r="B38" i="1"/>
  <c r="B39" i="1" l="1"/>
  <c r="F32" i="1"/>
  <c r="D5" i="1"/>
  <c r="B31" i="1" s="1"/>
  <c r="L5" i="1"/>
  <c r="M5" i="1"/>
  <c r="N5" i="1"/>
  <c r="D6" i="1"/>
  <c r="F6" i="1" s="1"/>
  <c r="L6" i="1"/>
  <c r="M6" i="1"/>
  <c r="N6" i="1"/>
  <c r="L7" i="1"/>
  <c r="M7" i="1"/>
  <c r="N7" i="1"/>
  <c r="D8" i="1"/>
  <c r="F8" i="1" s="1"/>
  <c r="L8" i="1"/>
  <c r="M8" i="1"/>
  <c r="N8" i="1"/>
  <c r="L9" i="1"/>
  <c r="M9" i="1"/>
  <c r="N9" i="1"/>
  <c r="D10" i="1"/>
  <c r="F10" i="1" s="1"/>
  <c r="L10" i="1"/>
  <c r="M10" i="1"/>
  <c r="N10" i="1"/>
  <c r="L11" i="1"/>
  <c r="M11" i="1"/>
  <c r="N11" i="1"/>
  <c r="D12" i="1"/>
  <c r="F12" i="1" s="1"/>
  <c r="L12" i="1"/>
  <c r="M12" i="1"/>
  <c r="N12" i="1"/>
  <c r="L13" i="1"/>
  <c r="M13" i="1"/>
  <c r="N13" i="1"/>
  <c r="F17" i="1"/>
  <c r="L17" i="1"/>
  <c r="M17" i="1"/>
  <c r="N17" i="1"/>
  <c r="Q17" i="1"/>
  <c r="F18" i="1"/>
  <c r="L18" i="1"/>
  <c r="M18" i="1"/>
  <c r="N18" i="1"/>
  <c r="Q18" i="1"/>
  <c r="F19" i="1"/>
  <c r="L19" i="1"/>
  <c r="M19" i="1"/>
  <c r="N19" i="1"/>
  <c r="Q19" i="1"/>
  <c r="F20" i="1"/>
  <c r="L20" i="1"/>
  <c r="M20" i="1"/>
  <c r="N20" i="1"/>
  <c r="Q20" i="1"/>
  <c r="F21" i="1"/>
  <c r="L21" i="1"/>
  <c r="M21" i="1"/>
  <c r="P21" i="1" s="1"/>
  <c r="R21" i="1" s="1"/>
  <c r="S21" i="1" s="1"/>
  <c r="N21" i="1"/>
  <c r="Q21" i="1"/>
  <c r="F22" i="1"/>
  <c r="L22" i="1"/>
  <c r="M22" i="1"/>
  <c r="N22" i="1"/>
  <c r="P22" i="1"/>
  <c r="Q22" i="1"/>
  <c r="R22" i="1"/>
  <c r="S22" i="1" s="1"/>
  <c r="G27" i="1"/>
  <c r="G28" i="1"/>
  <c r="P18" i="1" l="1"/>
  <c r="R18" i="1" s="1"/>
  <c r="S18" i="1" s="1"/>
  <c r="P12" i="1"/>
  <c r="P8" i="1"/>
  <c r="P10" i="1"/>
  <c r="P6" i="1"/>
  <c r="P17" i="1"/>
  <c r="R17" i="1" s="1"/>
  <c r="S17" i="1" s="1"/>
  <c r="F5" i="1"/>
  <c r="O7" i="1"/>
  <c r="O5" i="1"/>
  <c r="F26" i="1"/>
  <c r="P20" i="1"/>
  <c r="R20" i="1" s="1"/>
  <c r="S20" i="1" s="1"/>
  <c r="P19" i="1"/>
  <c r="R19" i="1" s="1"/>
  <c r="S19" i="1" s="1"/>
  <c r="P13" i="1"/>
  <c r="D13" i="1"/>
  <c r="F13" i="1" s="1"/>
  <c r="P11" i="1"/>
  <c r="D11" i="1"/>
  <c r="F11" i="1" s="1"/>
  <c r="O10" i="1"/>
  <c r="P9" i="1"/>
  <c r="D9" i="1"/>
  <c r="F9" i="1" s="1"/>
  <c r="P7" i="1"/>
  <c r="D7" i="1"/>
  <c r="F7" i="1" s="1"/>
  <c r="P5" i="1"/>
  <c r="Q13" i="1"/>
  <c r="Q12" i="1"/>
  <c r="Q10" i="1"/>
  <c r="Q8" i="1"/>
  <c r="R8" i="1" s="1"/>
  <c r="S8" i="1" s="1"/>
  <c r="Q6" i="1"/>
  <c r="R6" i="1" s="1"/>
  <c r="S6" i="1" s="1"/>
  <c r="Q5" i="1"/>
  <c r="R10" i="1" l="1"/>
  <c r="S10" i="1" s="1"/>
  <c r="R12" i="1"/>
  <c r="S12" i="1" s="1"/>
  <c r="Q9" i="1"/>
  <c r="R9" i="1" s="1"/>
  <c r="S9" i="1" s="1"/>
  <c r="O23" i="1"/>
  <c r="R5" i="1"/>
  <c r="S5" i="1" s="1"/>
  <c r="Q7" i="1"/>
  <c r="R7" i="1" s="1"/>
  <c r="S7" i="1" s="1"/>
  <c r="Q11" i="1"/>
  <c r="R11" i="1" s="1"/>
  <c r="S11" i="1" s="1"/>
  <c r="R13" i="1"/>
  <c r="S13" i="1" s="1"/>
  <c r="H26" i="1"/>
  <c r="F35" i="1" l="1"/>
  <c r="F38" i="1" l="1"/>
  <c r="H38" i="1" s="1"/>
  <c r="F36" i="1"/>
  <c r="G36" i="1" s="1"/>
  <c r="H35" i="1"/>
  <c r="F33" i="1"/>
  <c r="H33" i="1" s="1"/>
  <c r="F31" i="1"/>
  <c r="H31" i="1" s="1"/>
  <c r="H36" i="1"/>
  <c r="G35" i="1"/>
  <c r="B32" i="1" l="1"/>
  <c r="G31" i="1"/>
  <c r="G38" i="1"/>
  <c r="G33" i="1"/>
  <c r="B33" i="1" l="1"/>
  <c r="C32" i="1" l="1"/>
  <c r="D32" i="1"/>
  <c r="B37" i="1"/>
  <c r="C37" i="1" s="1"/>
  <c r="B36" i="1"/>
  <c r="C36" i="1" s="1"/>
  <c r="B35" i="1"/>
  <c r="D35" i="1" s="1"/>
  <c r="B34" i="1"/>
  <c r="D34" i="1" s="1"/>
  <c r="D33" i="1"/>
  <c r="C33" i="1"/>
  <c r="D40" i="1"/>
  <c r="C40" i="1"/>
  <c r="D39" i="1"/>
  <c r="C39" i="1"/>
  <c r="H37" i="1"/>
  <c r="G37" i="1"/>
  <c r="H34" i="1"/>
  <c r="G34" i="1"/>
  <c r="C38" i="1"/>
  <c r="D38" i="1"/>
  <c r="H32" i="1"/>
  <c r="G32" i="1"/>
  <c r="C34" i="1" l="1"/>
  <c r="C35" i="1"/>
  <c r="D37" i="1"/>
  <c r="D36" i="1"/>
  <c r="C31" i="1"/>
  <c r="D31" i="1"/>
</calcChain>
</file>

<file path=xl/sharedStrings.xml><?xml version="1.0" encoding="utf-8"?>
<sst xmlns="http://schemas.openxmlformats.org/spreadsheetml/2006/main" count="135" uniqueCount="113">
  <si>
    <t>VE-01</t>
  </si>
  <si>
    <t>Vessel Volume Cu M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</si>
  <si>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</si>
  <si>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</si>
  <si>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</si>
  <si>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</si>
  <si>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</si>
  <si>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</si>
  <si>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</si>
  <si>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Shell Weight</t>
  </si>
  <si>
    <t>Vessel Price</t>
  </si>
  <si>
    <t>Top/Bot or Dishes Weight</t>
  </si>
  <si>
    <t>Total</t>
  </si>
  <si>
    <t>Continuous Plants</t>
  </si>
  <si>
    <t>Cooling Tower</t>
  </si>
  <si>
    <t>Bolier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</si>
  <si>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</si>
  <si>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</si>
  <si>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</si>
  <si>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</si>
  <si>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</si>
  <si>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</si>
  <si>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</si>
  <si>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</si>
  <si>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</si>
  <si>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</si>
  <si>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</si>
  <si>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</si>
  <si>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</si>
  <si>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</si>
  <si>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</si>
  <si>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</si>
  <si>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</si>
  <si>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</si>
  <si>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</si>
  <si>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</si>
  <si>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</si>
  <si>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</si>
  <si>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</si>
  <si>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</si>
  <si>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</si>
  <si>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pt-19</t>
  </si>
  <si>
    <t>pt-28</t>
  </si>
  <si>
    <t>Weight of Vessel Kg</t>
  </si>
  <si>
    <t>Total Load of Vessel Kg</t>
  </si>
  <si>
    <t>Wt of Contents Kgs</t>
  </si>
  <si>
    <t>Total Dynamic Load Kg</t>
  </si>
  <si>
    <t>p-03</t>
  </si>
  <si>
    <t>VE-07</t>
  </si>
  <si>
    <t>VE-09</t>
  </si>
  <si>
    <t>VE-13</t>
  </si>
  <si>
    <t>VE-24</t>
  </si>
  <si>
    <t>VE-27</t>
  </si>
  <si>
    <t>OT-01/02/06/07</t>
  </si>
  <si>
    <t>BT-11/12</t>
  </si>
  <si>
    <t>GT-14/15</t>
  </si>
  <si>
    <t>MT-20/22/23</t>
  </si>
  <si>
    <t>WT-27</t>
  </si>
  <si>
    <t>FT-18</t>
  </si>
  <si>
    <t>p-06</t>
  </si>
  <si>
    <t>p-08</t>
  </si>
  <si>
    <t>p-10</t>
  </si>
  <si>
    <t>p-15</t>
  </si>
  <si>
    <t>p-17</t>
  </si>
  <si>
    <t>p-19</t>
  </si>
  <si>
    <t>p-26</t>
  </si>
  <si>
    <t>p-29</t>
  </si>
  <si>
    <t>p-30</t>
  </si>
  <si>
    <t>pt-03/08</t>
  </si>
  <si>
    <t>pt-04/05/09/10</t>
  </si>
  <si>
    <t>pt-13</t>
  </si>
  <si>
    <t>pt-17</t>
  </si>
  <si>
    <t>pt-21/25/26</t>
  </si>
  <si>
    <t>pt-24</t>
  </si>
  <si>
    <t>Flow LPM</t>
  </si>
  <si>
    <t>pt-16</t>
  </si>
  <si>
    <t>Methanol Recovery</t>
  </si>
  <si>
    <t>Feed Stock Tank</t>
  </si>
  <si>
    <t>Catalyst Reactor</t>
  </si>
  <si>
    <t>BioDiesel Reactor</t>
  </si>
  <si>
    <t>BioDiesel Purification</t>
  </si>
  <si>
    <t>Glycerine Purification</t>
  </si>
  <si>
    <t>Oil Stg Tank</t>
  </si>
  <si>
    <t>Biod Stg Tank</t>
  </si>
  <si>
    <t>Glyc Stg Tank</t>
  </si>
  <si>
    <t>Meth Stg Tank</t>
  </si>
  <si>
    <t>Wat Stg Tank</t>
  </si>
  <si>
    <t>Fuel Stg Tank</t>
  </si>
  <si>
    <t>Settling Tank</t>
  </si>
  <si>
    <t>Rounded Diameter mm</t>
  </si>
  <si>
    <t>Condensers</t>
  </si>
  <si>
    <t>Washing Columns</t>
  </si>
  <si>
    <t>C-02/25/28</t>
  </si>
  <si>
    <t>C-14</t>
  </si>
  <si>
    <t>Condenser</t>
  </si>
  <si>
    <t>VE-21</t>
  </si>
  <si>
    <t>VE-22</t>
  </si>
  <si>
    <t>VE-23</t>
  </si>
  <si>
    <t>WC-18</t>
  </si>
  <si>
    <t>125 NB</t>
  </si>
  <si>
    <t>125NB</t>
  </si>
  <si>
    <t>LDO Lit/day</t>
  </si>
  <si>
    <t>Fabrication Cost Rs./Kg for SS316L</t>
  </si>
  <si>
    <t>Fabrication Cost Rs./Kg for Stg Tanks</t>
  </si>
  <si>
    <t>Flow Rate M3 / hr</t>
  </si>
  <si>
    <t>Capacity Tpd</t>
  </si>
  <si>
    <t>Shell / Jacket Weight</t>
  </si>
  <si>
    <t>Vessel No.</t>
  </si>
  <si>
    <t>Utilities</t>
  </si>
  <si>
    <t>Pumps</t>
  </si>
  <si>
    <t>Nozzles / Legs  Weight</t>
  </si>
  <si>
    <t>C-05/11/16</t>
  </si>
  <si>
    <t>Main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</si>
</sst>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s-420]* #,##0.00_-;_-[$Rs-420]* #,##0.00\-;_-[$Rs-420]* &quot;-&quot;??_-;_-@_-"/>
    <numFmt numFmtId="165" formatCode="_-[$Rs-420]* #,##0_-;_-[$Rs-420]* #,##0\-;_-[$Rs-420]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10.14062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27" ht="60" x14ac:dyDescent="0.25">
      <c r="A1" s="1"/>
      <c r="C1" t="s">
        <v>13</v>
      </c>
      <c r="D1" s="21" t="s">
        <v>102</v>
      </c>
      <c r="E1" s="21" t="s">
        <v>18</v>
      </c>
      <c r="F1" s="21" t="s">
        <v>103</v>
      </c>
      <c r="T1" s="24"/>
      <c r="U1" s="24"/>
      <c r="V1" s="24"/>
      <c r="W1" s="24"/>
      <c r="X1" s="24"/>
      <c r="Y1" s="24"/>
      <c r="Z1" s="24"/>
      <c r="AA1" s="24"/>
    </row>
    <row r="2" spans="1:27" x14ac:dyDescent="0.25">
      <c r="A2" s="22"/>
      <c r="B2" s="22"/>
      <c r="D2">
        <v>500</v>
      </c>
      <c r="E2">
        <v>200</v>
      </c>
      <c r="F2">
        <v>100</v>
      </c>
      <c r="T2" s="24"/>
      <c r="U2" s="24"/>
      <c r="V2" s="24"/>
      <c r="W2" s="24"/>
      <c r="X2" s="24"/>
      <c r="Y2" s="24"/>
      <c r="Z2" s="24"/>
      <c r="AA2" s="24"/>
    </row>
    <row r="3" spans="1:27" ht="26.25" customHeight="1" x14ac:dyDescent="0.25">
      <c r="A3" s="23" t="s">
        <v>105</v>
      </c>
      <c r="B3" s="21" t="s">
        <v>104</v>
      </c>
      <c r="O3" s="6"/>
      <c r="P3" s="6"/>
      <c r="Q3" s="6"/>
      <c r="R3" s="6"/>
      <c r="S3" s="6"/>
    </row>
    <row r="4" spans="1:27" ht="45" x14ac:dyDescent="0.25">
      <c r="A4">
        <v>100</v>
      </c>
      <c r="B4">
        <f>A4/20</f>
        <v>5</v>
      </c>
      <c r="C4" s="22"/>
      <c r="D4" s="22" t="s">
        <v>1</v>
      </c>
      <c r="E4" s="22" t="s">
        <v>2</v>
      </c>
      <c r="F4" s="22" t="s">
        <v>3</v>
      </c>
      <c r="G4" s="22" t="s">
        <v>89</v>
      </c>
      <c r="H4" s="22" t="s">
        <v>8</v>
      </c>
      <c r="I4" s="22"/>
      <c r="J4" s="22"/>
      <c r="K4" s="22"/>
      <c r="L4" s="22" t="s">
        <v>9</v>
      </c>
      <c r="M4" s="22" t="s">
        <v>11</v>
      </c>
      <c r="N4" s="22" t="s">
        <v>110</v>
      </c>
      <c r="O4" s="5" t="s">
        <v>10</v>
      </c>
      <c r="P4" s="22" t="s">
        <v>43</v>
      </c>
      <c r="Q4" s="22" t="s">
        <v>45</v>
      </c>
      <c r="R4" s="22" t="s">
        <v>44</v>
      </c>
      <c r="S4" s="22" t="s">
        <v>46</v>
      </c>
    </row>
    <row r="5" spans="1:27" x14ac:dyDescent="0.25">
      <c r="A5" s="2" t="s">
        <v>48</v>
      </c>
      <c r="B5" t="s">
        <v>76</v>
      </c>
      <c r="D5">
        <f>B4*0.3</f>
        <v>1.5</v>
      </c>
      <c r="E5">
        <v>1500</v>
      </c>
      <c r="F5" s="3">
        <f>SQRT(D5*4*1000/E5/3.14159)*1000</f>
        <v>1128.379643646369</v>
      </c>
      <c r="G5" s="3">
        <v>1150</v>
      </c>
      <c r="H5" s="3">
        <v>6</v>
      </c>
      <c r="I5" s="3"/>
      <c r="J5" s="3"/>
      <c r="L5" s="4">
        <f>3.14159*G5*E5*H5*7.85/1000000</f>
        <v>255.24633352499998</v>
      </c>
      <c r="M5" s="4">
        <f>G5*G5*1.22*1.22*H5*7.85*2/1000000</f>
        <v>185.42412779999998</v>
      </c>
      <c r="N5" s="4">
        <f t="shared" ref="N5:N13" si="0">(K5+L5)*0.05</f>
        <v>12.76231667625</v>
      </c>
      <c r="O5" s="6">
        <f>SUM(L5, M5,N5)*E2</f>
        <v>90686.555600249994</v>
      </c>
      <c r="P5" s="4">
        <f t="shared" ref="P5:P13" si="1">L5+M5+N5</f>
        <v>453.43277800124997</v>
      </c>
      <c r="Q5">
        <f t="shared" ref="Q5:Q10" si="2">D5*800</f>
        <v>1200</v>
      </c>
      <c r="R5" s="15">
        <f t="shared" ref="R5:R13" si="3">P5+Q5</f>
        <v>1653.43277800125</v>
      </c>
      <c r="S5" s="15">
        <f>R5</f>
        <v>1653.43277800125</v>
      </c>
    </row>
    <row r="6" spans="1:27" x14ac:dyDescent="0.25">
      <c r="A6" t="s">
        <v>49</v>
      </c>
      <c r="B6" t="s">
        <v>77</v>
      </c>
      <c r="D6">
        <f>B4*1.2*3</f>
        <v>18</v>
      </c>
      <c r="E6">
        <v>2400</v>
      </c>
      <c r="F6" s="3">
        <f t="shared" ref="F6:F10" si="4">SQRT(D6*4*1000/E6/3.14159)*1000</f>
        <v>3090.194921273785</v>
      </c>
      <c r="G6" s="3">
        <v>3000</v>
      </c>
      <c r="H6" s="3">
        <v>6</v>
      </c>
      <c r="I6" s="3"/>
      <c r="J6" s="3"/>
      <c r="L6" s="4">
        <f>3.14159*G6*E6*H6*8.15/1000000</f>
        <v>1106.0910072000001</v>
      </c>
      <c r="M6" s="4">
        <f>G6*G6*1.22*1.22*H6*8.15*2/1000000</f>
        <v>1310.08968</v>
      </c>
      <c r="N6" s="4">
        <f t="shared" si="0"/>
        <v>55.304550360000007</v>
      </c>
      <c r="O6" s="6">
        <f>SUM(L6, M6,N6)*E2*3*1.4</f>
        <v>2076047.5995504004</v>
      </c>
      <c r="P6" s="4">
        <f t="shared" si="1"/>
        <v>2471.4852375600003</v>
      </c>
      <c r="Q6">
        <f t="shared" si="2"/>
        <v>14400</v>
      </c>
      <c r="R6" s="15">
        <f t="shared" si="3"/>
        <v>16871.485237560002</v>
      </c>
      <c r="S6" s="15">
        <f t="shared" ref="S6:S8" si="5">R6*1.2</f>
        <v>20245.782285072</v>
      </c>
    </row>
    <row r="7" spans="1:27" x14ac:dyDescent="0.25">
      <c r="A7" t="s">
        <v>50</v>
      </c>
      <c r="B7" t="s">
        <v>78</v>
      </c>
      <c r="D7">
        <f>B4*0.3</f>
        <v>1.5</v>
      </c>
      <c r="E7">
        <v>1200</v>
      </c>
      <c r="F7" s="3">
        <f t="shared" si="4"/>
        <v>1261.5667938101346</v>
      </c>
      <c r="G7" s="3">
        <v>1250</v>
      </c>
      <c r="H7" s="3">
        <v>5</v>
      </c>
      <c r="I7" s="3"/>
      <c r="J7" s="3"/>
      <c r="L7" s="4">
        <f>3.14159*G7*E7*H7*8.15/1000000</f>
        <v>192.02968874999999</v>
      </c>
      <c r="M7" s="4">
        <f>G7*G7*1.22*1.22*H7*8.15*2/1000000</f>
        <v>189.53843749999999</v>
      </c>
      <c r="N7" s="4">
        <f t="shared" si="0"/>
        <v>9.6014844374999999</v>
      </c>
      <c r="O7" s="6">
        <f>SUM(L7, M7,N7)*D2*2</f>
        <v>391169.61068749998</v>
      </c>
      <c r="P7" s="4">
        <f t="shared" si="1"/>
        <v>391.16961068749998</v>
      </c>
      <c r="Q7">
        <f t="shared" si="2"/>
        <v>1200</v>
      </c>
      <c r="R7" s="15">
        <f t="shared" si="3"/>
        <v>1591.1696106874999</v>
      </c>
      <c r="S7" s="15">
        <f t="shared" si="5"/>
        <v>1909.4035328249997</v>
      </c>
    </row>
    <row r="8" spans="1:27" x14ac:dyDescent="0.25">
      <c r="A8" t="s">
        <v>51</v>
      </c>
      <c r="B8" t="s">
        <v>79</v>
      </c>
      <c r="D8">
        <f>B4*4</f>
        <v>20</v>
      </c>
      <c r="E8">
        <v>2400</v>
      </c>
      <c r="F8" s="3">
        <f t="shared" si="4"/>
        <v>3257.3514550366253</v>
      </c>
      <c r="G8" s="3">
        <v>3200</v>
      </c>
      <c r="H8" s="3">
        <v>6</v>
      </c>
      <c r="I8" s="3"/>
      <c r="J8" s="3"/>
      <c r="L8" s="4">
        <f>3.14159*G8*E8*H8*8.15/1000000</f>
        <v>1179.83040768</v>
      </c>
      <c r="M8" s="4">
        <f>G8*G8*1.22*1.22*H8*8.15*2/1000000</f>
        <v>1490.5909248</v>
      </c>
      <c r="N8" s="4">
        <f t="shared" si="0"/>
        <v>58.991520384000005</v>
      </c>
      <c r="O8" s="6">
        <f>SUM(L8, M8,N8)*D2*1.2</f>
        <v>1637647.7117184002</v>
      </c>
      <c r="P8" s="4">
        <f t="shared" si="1"/>
        <v>2729.4128528640003</v>
      </c>
      <c r="Q8">
        <f t="shared" si="2"/>
        <v>16000</v>
      </c>
      <c r="R8" s="15">
        <f t="shared" si="3"/>
        <v>18729.412852863999</v>
      </c>
      <c r="S8" s="15">
        <f t="shared" si="5"/>
        <v>22475.295423436797</v>
      </c>
    </row>
    <row r="9" spans="1:27" x14ac:dyDescent="0.25">
      <c r="A9" t="s">
        <v>52</v>
      </c>
      <c r="B9" t="s">
        <v>80</v>
      </c>
      <c r="D9">
        <f>B4</f>
        <v>5</v>
      </c>
      <c r="E9">
        <v>1500</v>
      </c>
      <c r="F9" s="3">
        <f t="shared" si="4"/>
        <v>2060.1299475158567</v>
      </c>
      <c r="G9" s="3">
        <v>2000</v>
      </c>
      <c r="H9" s="3">
        <v>6</v>
      </c>
      <c r="I9" s="3"/>
      <c r="J9" s="3"/>
      <c r="L9" s="4">
        <f>3.14159*G9*E9*H9*7.85/1000000</f>
        <v>443.90666700000003</v>
      </c>
      <c r="M9" s="4">
        <f>G9*G9*1.22*1.22*H9*7.85*2/1000000</f>
        <v>560.82911999999999</v>
      </c>
      <c r="N9" s="4">
        <f t="shared" si="0"/>
        <v>22.195333350000002</v>
      </c>
      <c r="O9" s="6">
        <f>(L9+M9+N9)*E2*1.4</f>
        <v>287540.71369800001</v>
      </c>
      <c r="P9" s="4">
        <f t="shared" si="1"/>
        <v>1026.9311203500001</v>
      </c>
      <c r="Q9">
        <f t="shared" si="2"/>
        <v>4000</v>
      </c>
      <c r="R9" s="15">
        <f t="shared" si="3"/>
        <v>5026.9311203500001</v>
      </c>
      <c r="S9" s="15">
        <f>R9</f>
        <v>5026.9311203500001</v>
      </c>
    </row>
    <row r="10" spans="1:27" x14ac:dyDescent="0.25">
      <c r="A10" t="s">
        <v>95</v>
      </c>
      <c r="B10" t="s">
        <v>81</v>
      </c>
      <c r="D10">
        <f>B4*0.2</f>
        <v>1</v>
      </c>
      <c r="E10">
        <v>1500</v>
      </c>
      <c r="F10" s="3">
        <f t="shared" si="4"/>
        <v>921.31812102570598</v>
      </c>
      <c r="G10" s="3">
        <v>1000</v>
      </c>
      <c r="H10" s="3">
        <v>6</v>
      </c>
      <c r="I10" s="3"/>
      <c r="J10" s="3"/>
      <c r="L10" s="4">
        <f>3.14159*G10*E10*H10*7.85/1000000</f>
        <v>221.95333350000001</v>
      </c>
      <c r="M10" s="4">
        <f>G10*G10*1.22*1.22*H10*7.85*2/1000000</f>
        <v>140.20728</v>
      </c>
      <c r="N10" s="4">
        <f t="shared" si="0"/>
        <v>11.097666675000001</v>
      </c>
      <c r="O10" s="6">
        <f>(L10+M10+N10)*E2</f>
        <v>74651.656035000007</v>
      </c>
      <c r="P10" s="4">
        <f t="shared" si="1"/>
        <v>373.25828017500004</v>
      </c>
      <c r="Q10">
        <f t="shared" si="2"/>
        <v>800</v>
      </c>
      <c r="R10" s="15">
        <f t="shared" si="3"/>
        <v>1173.258280175</v>
      </c>
      <c r="S10" s="15">
        <f>R10</f>
        <v>1173.258280175</v>
      </c>
    </row>
    <row r="11" spans="1:27" x14ac:dyDescent="0.25">
      <c r="A11" t="s">
        <v>96</v>
      </c>
      <c r="B11" t="s">
        <v>88</v>
      </c>
      <c r="D11">
        <f>B4*5.5</f>
        <v>27.5</v>
      </c>
      <c r="E11">
        <v>4800</v>
      </c>
      <c r="F11" s="3">
        <f>SQRT(D11*4*1000/E11/3/3.14159)*1000</f>
        <v>1559.3382912708078</v>
      </c>
      <c r="G11" s="3">
        <v>1600</v>
      </c>
      <c r="H11" s="3">
        <v>10</v>
      </c>
      <c r="I11" s="3">
        <v>8</v>
      </c>
      <c r="J11" s="3">
        <v>6</v>
      </c>
      <c r="L11" s="4">
        <f t="shared" ref="L11:L13" si="6">3.14159*G11*E11*(H11+I11+J11)*7.85/3000000</f>
        <v>1515.2014233599996</v>
      </c>
      <c r="M11" s="4">
        <f>G11*G11*1.22*1.22*H11*7.85*2/1000000</f>
        <v>598.21772799999997</v>
      </c>
      <c r="N11" s="4">
        <f t="shared" si="0"/>
        <v>75.760071167999982</v>
      </c>
      <c r="O11" s="6">
        <f>(L11+M11+N11)*E2*1.25</f>
        <v>547294.80563199986</v>
      </c>
      <c r="P11" s="4">
        <f t="shared" si="1"/>
        <v>2189.1792225279996</v>
      </c>
      <c r="Q11" s="3">
        <f>D11*800</f>
        <v>22000</v>
      </c>
      <c r="R11" s="15">
        <f t="shared" si="3"/>
        <v>24189.179222528001</v>
      </c>
      <c r="S11" s="15">
        <f t="shared" ref="S11:S13" si="7">R11</f>
        <v>24189.179222528001</v>
      </c>
      <c r="T11" s="18"/>
      <c r="U11" s="18"/>
      <c r="V11" s="4"/>
      <c r="W11" s="4"/>
      <c r="X11" s="18"/>
      <c r="Y11" s="18"/>
      <c r="Z11" s="4"/>
      <c r="AA11" s="4"/>
    </row>
    <row r="12" spans="1:27" x14ac:dyDescent="0.25">
      <c r="A12" t="s">
        <v>97</v>
      </c>
      <c r="B12" t="s">
        <v>88</v>
      </c>
      <c r="D12">
        <f>B4*5</f>
        <v>25</v>
      </c>
      <c r="E12">
        <v>4600</v>
      </c>
      <c r="F12" s="3">
        <f t="shared" ref="F12:F13" si="8">SQRT(D12*4*1000/E12/3/3.14159)*1000</f>
        <v>1518.7479469751174</v>
      </c>
      <c r="G12" s="3">
        <v>1600</v>
      </c>
      <c r="H12" s="3">
        <v>10</v>
      </c>
      <c r="I12" s="3">
        <v>8</v>
      </c>
      <c r="J12" s="3">
        <v>6</v>
      </c>
      <c r="L12" s="4">
        <f t="shared" si="6"/>
        <v>1452.0680307199996</v>
      </c>
      <c r="M12" s="4">
        <f t="shared" ref="M12:M13" si="9">G12*G12*1.22*1.22*H12*7.85*2/1000000</f>
        <v>598.21772799999997</v>
      </c>
      <c r="N12" s="4">
        <f t="shared" si="0"/>
        <v>72.603401535999978</v>
      </c>
      <c r="O12" s="6">
        <f>(L12+M12+N12)*E2*1.25</f>
        <v>530722.29006399994</v>
      </c>
      <c r="P12" s="4">
        <f t="shared" si="1"/>
        <v>2122.8891602559997</v>
      </c>
      <c r="Q12" s="3">
        <f>D12*800</f>
        <v>20000</v>
      </c>
      <c r="R12" s="15">
        <f t="shared" si="3"/>
        <v>22122.889160256</v>
      </c>
      <c r="S12" s="15">
        <f t="shared" si="7"/>
        <v>22122.889160256</v>
      </c>
      <c r="T12" s="18"/>
      <c r="U12" s="18"/>
      <c r="V12" s="4"/>
      <c r="W12" s="4"/>
      <c r="X12" s="18"/>
      <c r="Y12" s="18"/>
      <c r="Z12" s="4"/>
      <c r="AA12" s="4"/>
    </row>
    <row r="13" spans="1:27" x14ac:dyDescent="0.25">
      <c r="A13" t="s">
        <v>92</v>
      </c>
      <c r="B13" t="s">
        <v>88</v>
      </c>
      <c r="D13">
        <f>B4*4.5</f>
        <v>22.5</v>
      </c>
      <c r="E13">
        <v>4400</v>
      </c>
      <c r="F13" s="3">
        <f t="shared" si="8"/>
        <v>1473.1926254556413</v>
      </c>
      <c r="G13" s="3">
        <v>1600</v>
      </c>
      <c r="H13" s="3">
        <v>10</v>
      </c>
      <c r="I13" s="3">
        <v>8</v>
      </c>
      <c r="J13" s="3">
        <v>6</v>
      </c>
      <c r="L13" s="4">
        <f t="shared" si="6"/>
        <v>1388.93463808</v>
      </c>
      <c r="M13" s="4">
        <f t="shared" si="9"/>
        <v>598.21772799999997</v>
      </c>
      <c r="N13" s="4">
        <f t="shared" si="0"/>
        <v>69.446731904000004</v>
      </c>
      <c r="O13" s="6">
        <f>(L13+M13+N13)*E2*1.25</f>
        <v>514149.77449599997</v>
      </c>
      <c r="P13" s="4">
        <f t="shared" si="1"/>
        <v>2056.5990979839999</v>
      </c>
      <c r="Q13">
        <f>D13*800</f>
        <v>18000</v>
      </c>
      <c r="R13" s="15">
        <f t="shared" si="3"/>
        <v>20056.599097983999</v>
      </c>
      <c r="S13" s="15">
        <f t="shared" si="7"/>
        <v>20056.599097983999</v>
      </c>
      <c r="T13" s="16"/>
      <c r="U13" s="16"/>
      <c r="V13" s="4"/>
      <c r="W13" s="4"/>
      <c r="X13" s="16"/>
      <c r="Y13" s="16"/>
      <c r="Z13" s="4"/>
      <c r="AA13" s="4"/>
    </row>
    <row r="14" spans="1:27" x14ac:dyDescent="0.25">
      <c r="A14" t="s">
        <v>93</v>
      </c>
      <c r="B14" t="s">
        <v>90</v>
      </c>
      <c r="E14">
        <v>3000</v>
      </c>
      <c r="F14" s="3"/>
      <c r="G14" s="15" t="s">
        <v>100</v>
      </c>
      <c r="H14" s="3"/>
      <c r="I14" s="3"/>
      <c r="J14" s="3"/>
      <c r="L14" s="4"/>
      <c r="M14" s="4"/>
      <c r="N14" s="4"/>
      <c r="O14" s="6">
        <v>500000</v>
      </c>
      <c r="P14" s="4"/>
      <c r="R14" s="15"/>
      <c r="S14" s="15">
        <v>300</v>
      </c>
      <c r="T14" s="16"/>
      <c r="U14" s="16"/>
      <c r="V14" s="4"/>
      <c r="W14" s="4"/>
      <c r="X14" s="16"/>
      <c r="Y14" s="16"/>
      <c r="Z14" s="4"/>
      <c r="AA14" s="4"/>
    </row>
    <row r="15" spans="1:27" x14ac:dyDescent="0.25">
      <c r="A15" t="s">
        <v>98</v>
      </c>
      <c r="B15" t="s">
        <v>94</v>
      </c>
      <c r="E15">
        <v>4500</v>
      </c>
      <c r="F15" s="3"/>
      <c r="G15" s="15" t="s">
        <v>99</v>
      </c>
      <c r="H15" s="3"/>
      <c r="I15" s="3"/>
      <c r="J15" s="3"/>
      <c r="L15" s="4"/>
      <c r="M15" s="4"/>
      <c r="N15" s="4"/>
      <c r="O15" s="6">
        <v>75000</v>
      </c>
      <c r="P15" s="4"/>
      <c r="R15" s="15"/>
      <c r="S15" s="15">
        <v>400</v>
      </c>
      <c r="T15" s="16"/>
      <c r="U15" s="16"/>
      <c r="V15" s="4"/>
      <c r="W15" s="4"/>
      <c r="X15" s="16"/>
      <c r="Y15" s="16"/>
      <c r="Z15" s="4"/>
      <c r="AA15" s="4"/>
    </row>
    <row r="16" spans="1:27" x14ac:dyDescent="0.25">
      <c r="A16" t="s">
        <v>53</v>
      </c>
      <c r="B16" t="s">
        <v>91</v>
      </c>
      <c r="E16">
        <v>4800</v>
      </c>
      <c r="F16" s="3"/>
      <c r="G16" s="3">
        <v>1200</v>
      </c>
      <c r="H16" s="3"/>
      <c r="I16" s="3"/>
      <c r="J16" s="3"/>
      <c r="L16" s="4"/>
      <c r="M16" s="4"/>
      <c r="N16" s="4"/>
      <c r="O16" s="6">
        <v>75000</v>
      </c>
      <c r="P16" s="4"/>
      <c r="R16" s="15"/>
      <c r="S16" s="15">
        <v>1500</v>
      </c>
    </row>
    <row r="17" spans="1:31" x14ac:dyDescent="0.25">
      <c r="A17" t="s">
        <v>54</v>
      </c>
      <c r="B17" t="s">
        <v>82</v>
      </c>
      <c r="D17">
        <v>100</v>
      </c>
      <c r="E17">
        <v>4500</v>
      </c>
      <c r="F17" s="3">
        <f t="shared" ref="F17:F22" si="10">SQRT(D17*4*1000/E17/3.14159)*1000</f>
        <v>5319.2326518347154</v>
      </c>
      <c r="G17" s="3">
        <v>5500</v>
      </c>
      <c r="H17" s="3">
        <v>10</v>
      </c>
      <c r="I17" s="3">
        <v>8</v>
      </c>
      <c r="J17" s="3">
        <v>6</v>
      </c>
      <c r="K17" s="4"/>
      <c r="L17" s="4">
        <f t="shared" ref="L17:L22" si="11">3.14159*G17*E17*(H17+I17+J17)*7.85/3000000</f>
        <v>4882.9733370000004</v>
      </c>
      <c r="M17" s="4">
        <f t="shared" ref="M17:M22" si="12">G17*G17*1.22*1.22*H17*7.85*2/1000000</f>
        <v>7068.7837</v>
      </c>
      <c r="N17" s="4">
        <f t="shared" ref="N17:N22" si="13">(K17+L17)*0.05</f>
        <v>244.14866685000004</v>
      </c>
      <c r="O17" s="6">
        <f>SUM(L17, M17,N17)*F2*4*2</f>
        <v>9756724.5630799998</v>
      </c>
      <c r="P17" s="4">
        <f t="shared" ref="P17:P22" si="14">L17+M17+N17</f>
        <v>12195.90570385</v>
      </c>
      <c r="Q17">
        <f t="shared" ref="Q17:Q22" si="15">D17*800</f>
        <v>80000</v>
      </c>
      <c r="R17" s="15">
        <f t="shared" ref="R17:R22" si="16">P17+Q17</f>
        <v>92195.905703850003</v>
      </c>
      <c r="S17" s="15">
        <f t="shared" ref="S17:S22" si="17">R17</f>
        <v>92195.905703850003</v>
      </c>
    </row>
    <row r="18" spans="1:31" x14ac:dyDescent="0.25">
      <c r="A18" t="s">
        <v>55</v>
      </c>
      <c r="B18" t="s">
        <v>83</v>
      </c>
      <c r="D18">
        <v>100</v>
      </c>
      <c r="E18">
        <v>4500</v>
      </c>
      <c r="F18" s="3">
        <f t="shared" si="10"/>
        <v>5319.2326518347154</v>
      </c>
      <c r="G18" s="3">
        <v>5500</v>
      </c>
      <c r="H18" s="3">
        <v>10</v>
      </c>
      <c r="I18" s="3">
        <v>8</v>
      </c>
      <c r="J18" s="3">
        <v>6</v>
      </c>
      <c r="K18" s="4"/>
      <c r="L18" s="4">
        <f t="shared" si="11"/>
        <v>4882.9733370000004</v>
      </c>
      <c r="M18" s="4">
        <f t="shared" si="12"/>
        <v>7068.7837</v>
      </c>
      <c r="N18" s="4">
        <f t="shared" si="13"/>
        <v>244.14866685000004</v>
      </c>
      <c r="O18" s="6">
        <f>SUM(L18, M18,N18)*F2*2*2</f>
        <v>4878362.2815399999</v>
      </c>
      <c r="P18" s="4">
        <f t="shared" si="14"/>
        <v>12195.90570385</v>
      </c>
      <c r="Q18">
        <f t="shared" si="15"/>
        <v>80000</v>
      </c>
      <c r="R18" s="15">
        <f t="shared" si="16"/>
        <v>92195.905703850003</v>
      </c>
      <c r="S18" s="15">
        <f t="shared" si="17"/>
        <v>92195.905703850003</v>
      </c>
    </row>
    <row r="19" spans="1:31" x14ac:dyDescent="0.25">
      <c r="A19" t="s">
        <v>56</v>
      </c>
      <c r="B19" t="s">
        <v>84</v>
      </c>
      <c r="D19">
        <v>20</v>
      </c>
      <c r="E19">
        <v>3600</v>
      </c>
      <c r="F19" s="3">
        <f t="shared" si="10"/>
        <v>2659.6163259173577</v>
      </c>
      <c r="G19" s="3">
        <v>2500</v>
      </c>
      <c r="H19" s="3">
        <v>8</v>
      </c>
      <c r="I19" s="3">
        <v>6</v>
      </c>
      <c r="J19" s="3">
        <v>5</v>
      </c>
      <c r="K19" s="4"/>
      <c r="L19" s="4">
        <f t="shared" si="11"/>
        <v>1405.7044454999998</v>
      </c>
      <c r="M19" s="4">
        <f t="shared" si="12"/>
        <v>1168.394</v>
      </c>
      <c r="N19" s="4">
        <f t="shared" si="13"/>
        <v>70.285222274999995</v>
      </c>
      <c r="O19" s="6">
        <f>SUM(L19, M19,N19)*F2*2*2</f>
        <v>1057753.4671099999</v>
      </c>
      <c r="P19" s="4">
        <f t="shared" si="14"/>
        <v>2644.3836677749996</v>
      </c>
      <c r="Q19">
        <f t="shared" si="15"/>
        <v>16000</v>
      </c>
      <c r="R19" s="15">
        <f t="shared" si="16"/>
        <v>18644.383667775001</v>
      </c>
      <c r="S19" s="15">
        <f t="shared" si="17"/>
        <v>18644.383667775001</v>
      </c>
      <c r="T19" s="13"/>
      <c r="U19" s="13"/>
      <c r="V19" s="4"/>
      <c r="W19" s="4"/>
      <c r="X19" s="13"/>
      <c r="Y19" s="13"/>
      <c r="Z19" s="4"/>
      <c r="AA19" s="4"/>
    </row>
    <row r="20" spans="1:31" x14ac:dyDescent="0.25">
      <c r="A20" t="s">
        <v>57</v>
      </c>
      <c r="B20" t="s">
        <v>85</v>
      </c>
      <c r="D20">
        <v>20</v>
      </c>
      <c r="E20">
        <v>3600</v>
      </c>
      <c r="F20" s="3">
        <f t="shared" si="10"/>
        <v>2659.6163259173577</v>
      </c>
      <c r="G20" s="3">
        <v>2500</v>
      </c>
      <c r="H20" s="3">
        <v>6</v>
      </c>
      <c r="I20" s="3"/>
      <c r="J20" s="3"/>
      <c r="K20" s="4"/>
      <c r="L20" s="4">
        <f t="shared" si="11"/>
        <v>443.90666699999991</v>
      </c>
      <c r="M20" s="4">
        <f t="shared" si="12"/>
        <v>876.29549999999995</v>
      </c>
      <c r="N20" s="4">
        <f t="shared" si="13"/>
        <v>22.195333349999999</v>
      </c>
      <c r="O20" s="6">
        <f>SUM(L20, M20,N20)*F2*3*2</f>
        <v>805438.50020999997</v>
      </c>
      <c r="P20" s="4">
        <f t="shared" si="14"/>
        <v>1342.39750035</v>
      </c>
      <c r="Q20">
        <f t="shared" si="15"/>
        <v>16000</v>
      </c>
      <c r="R20" s="15">
        <f t="shared" si="16"/>
        <v>17342.397500350002</v>
      </c>
      <c r="S20" s="15">
        <f t="shared" si="17"/>
        <v>17342.397500350002</v>
      </c>
      <c r="T20" s="13"/>
      <c r="U20" s="13"/>
      <c r="V20" s="4"/>
      <c r="W20" s="4"/>
      <c r="X20" s="13"/>
      <c r="Y20" s="13"/>
      <c r="Z20" s="4"/>
      <c r="AA20" s="4"/>
    </row>
    <row r="21" spans="1:31" x14ac:dyDescent="0.25">
      <c r="A21" t="s">
        <v>58</v>
      </c>
      <c r="B21" t="s">
        <v>86</v>
      </c>
      <c r="D21">
        <v>20</v>
      </c>
      <c r="E21">
        <v>3600</v>
      </c>
      <c r="F21" s="3">
        <f t="shared" si="10"/>
        <v>2659.6163259173577</v>
      </c>
      <c r="G21" s="3">
        <v>2500</v>
      </c>
      <c r="H21" s="3">
        <v>8</v>
      </c>
      <c r="I21" s="3">
        <v>6</v>
      </c>
      <c r="J21" s="3">
        <v>5</v>
      </c>
      <c r="K21" s="4"/>
      <c r="L21" s="4">
        <f t="shared" si="11"/>
        <v>1405.7044454999998</v>
      </c>
      <c r="M21" s="4">
        <f t="shared" si="12"/>
        <v>1168.394</v>
      </c>
      <c r="N21" s="4">
        <f t="shared" si="13"/>
        <v>70.285222274999995</v>
      </c>
      <c r="O21" s="6">
        <f>SUM(L21, M21,N21)*F2*2</f>
        <v>528876.73355499993</v>
      </c>
      <c r="P21" s="4">
        <f t="shared" si="14"/>
        <v>2644.3836677749996</v>
      </c>
      <c r="Q21">
        <f t="shared" si="15"/>
        <v>16000</v>
      </c>
      <c r="R21" s="15">
        <f t="shared" si="16"/>
        <v>18644.383667775001</v>
      </c>
      <c r="S21" s="15">
        <f t="shared" si="17"/>
        <v>18644.383667775001</v>
      </c>
      <c r="T21" s="13"/>
      <c r="U21" s="13"/>
      <c r="V21" s="4"/>
      <c r="W21" s="4"/>
    </row>
    <row r="22" spans="1:31" x14ac:dyDescent="0.25">
      <c r="B22" t="s">
        <v>87</v>
      </c>
      <c r="D22">
        <v>20</v>
      </c>
      <c r="E22">
        <v>3600</v>
      </c>
      <c r="F22" s="3">
        <f t="shared" si="10"/>
        <v>2659.6163259173577</v>
      </c>
      <c r="G22" s="3">
        <v>2500</v>
      </c>
      <c r="H22" s="3">
        <v>8</v>
      </c>
      <c r="I22" s="3">
        <v>6</v>
      </c>
      <c r="J22" s="3">
        <v>5</v>
      </c>
      <c r="K22" s="4"/>
      <c r="L22" s="4">
        <f t="shared" si="11"/>
        <v>1405.7044454999998</v>
      </c>
      <c r="M22" s="4">
        <f t="shared" si="12"/>
        <v>1168.394</v>
      </c>
      <c r="N22" s="4">
        <f t="shared" si="13"/>
        <v>70.285222274999995</v>
      </c>
      <c r="O22" s="6">
        <f>SUM(L22, M22,N22)*F2*2</f>
        <v>528876.73355499993</v>
      </c>
      <c r="P22" s="4">
        <f t="shared" si="14"/>
        <v>2644.3836677749996</v>
      </c>
      <c r="Q22">
        <f t="shared" si="15"/>
        <v>16000</v>
      </c>
      <c r="R22" s="15">
        <f t="shared" si="16"/>
        <v>18644.383667775001</v>
      </c>
      <c r="S22" s="15">
        <f t="shared" si="17"/>
        <v>18644.383667775001</v>
      </c>
      <c r="V22" s="4"/>
      <c r="W22" s="4"/>
      <c r="Z22" s="4"/>
      <c r="AA22" s="4"/>
    </row>
    <row r="23" spans="1:31" x14ac:dyDescent="0.25">
      <c r="F23" s="3"/>
      <c r="H23" s="4"/>
      <c r="L23" s="4"/>
      <c r="M23" s="4"/>
      <c r="N23" t="s">
        <v>12</v>
      </c>
      <c r="O23" s="6">
        <f>SUM(O5:O22)</f>
        <v>24355942.99653155</v>
      </c>
      <c r="P23" s="4"/>
      <c r="R23" s="4"/>
      <c r="V23" s="4"/>
      <c r="W23" s="4"/>
      <c r="Z23" s="4"/>
      <c r="AA23" s="4"/>
    </row>
    <row r="24" spans="1:31" x14ac:dyDescent="0.25">
      <c r="F24" s="3"/>
      <c r="H24" s="4"/>
      <c r="L24" s="4"/>
      <c r="M24" s="4"/>
      <c r="O24" s="6"/>
      <c r="P24" s="4"/>
      <c r="R24" s="4"/>
      <c r="V24" s="4"/>
      <c r="W24" s="4"/>
      <c r="Z24" s="4"/>
      <c r="AA24" s="4"/>
    </row>
    <row r="25" spans="1:31" x14ac:dyDescent="0.25">
      <c r="A25" s="25" t="s">
        <v>108</v>
      </c>
      <c r="F25" s="3"/>
      <c r="H25" s="4"/>
      <c r="L25" s="4"/>
      <c r="M25" s="4"/>
      <c r="O25" s="6"/>
      <c r="P25" s="4"/>
      <c r="R25" s="4"/>
      <c r="V25" s="4"/>
      <c r="W25" s="4"/>
      <c r="Z25" s="4"/>
      <c r="AA25" s="4"/>
    </row>
    <row r="26" spans="1:31" x14ac:dyDescent="0.25">
      <c r="A26" t="s">
        <v>15</v>
      </c>
      <c r="E26" t="s">
        <v>16</v>
      </c>
      <c r="F26">
        <f>B4*40000/500*24</f>
        <v>9600</v>
      </c>
      <c r="G26">
        <v>10000</v>
      </c>
      <c r="H26">
        <f>(D5+D6+D8+D9+D10+D11+D12+D13)*40000/500</f>
        <v>9640</v>
      </c>
      <c r="L26" s="4"/>
      <c r="M26" s="4"/>
      <c r="N26" s="4"/>
      <c r="O26" s="6"/>
      <c r="P26" s="4"/>
      <c r="R26" s="4"/>
      <c r="V26" s="4"/>
      <c r="W26" s="4"/>
      <c r="Z26" s="4"/>
      <c r="AA26" s="4"/>
    </row>
    <row r="27" spans="1:31" x14ac:dyDescent="0.25">
      <c r="A27" t="s">
        <v>14</v>
      </c>
      <c r="E27" t="s">
        <v>17</v>
      </c>
      <c r="G27">
        <f>G26*0.2*540/3/600</f>
        <v>600</v>
      </c>
    </row>
    <row r="28" spans="1:31" x14ac:dyDescent="0.25">
      <c r="E28" t="s">
        <v>101</v>
      </c>
      <c r="G28">
        <f>G26/100*7*24</f>
        <v>16800</v>
      </c>
      <c r="O28" s="6"/>
      <c r="P28" s="6"/>
      <c r="Q28" s="6"/>
      <c r="R28" s="6"/>
      <c r="S28" s="6"/>
    </row>
    <row r="29" spans="1:31" x14ac:dyDescent="0.25">
      <c r="A29" s="25" t="s">
        <v>109</v>
      </c>
      <c r="O29" s="6"/>
      <c r="P29" s="6"/>
      <c r="Q29" s="6"/>
      <c r="R29" s="6"/>
      <c r="S29" s="6"/>
    </row>
    <row r="30" spans="1:31" ht="30" x14ac:dyDescent="0.25">
      <c r="A30" s="12" t="s">
        <v>38</v>
      </c>
      <c r="B30" s="12" t="s">
        <v>74</v>
      </c>
      <c r="C30" s="12" t="s">
        <v>39</v>
      </c>
      <c r="D30" s="12" t="s">
        <v>40</v>
      </c>
      <c r="E30" s="12" t="s">
        <v>38</v>
      </c>
      <c r="F30" s="12" t="s">
        <v>74</v>
      </c>
      <c r="G30" s="12" t="s">
        <v>39</v>
      </c>
      <c r="H30" s="12" t="s">
        <v>40</v>
      </c>
    </row>
    <row r="31" spans="1:31" x14ac:dyDescent="0.25">
      <c r="A31" s="13" t="s">
        <v>47</v>
      </c>
      <c r="B31" s="13">
        <f>D5/20*1000</f>
        <v>75</v>
      </c>
      <c r="C31" s="4">
        <f t="shared" ref="C31:C40" si="18">SQRT(B31*4*1000/60/3.14)</f>
        <v>39.904344223381109</v>
      </c>
      <c r="D31" s="4">
        <f t="shared" ref="D31:D40" si="19">SQRT(B31*4*1000/3/60/3.14)</f>
        <v>23.038783879204569</v>
      </c>
      <c r="E31" s="13" t="s">
        <v>68</v>
      </c>
      <c r="F31" s="17">
        <f>10000/60</f>
        <v>166.66666666666666</v>
      </c>
      <c r="G31" s="4">
        <f t="shared" ref="G31:G39" si="20">SQRT(F31*4*1000/60/3.14)</f>
        <v>59.485884187354138</v>
      </c>
      <c r="H31" s="4">
        <f t="shared" ref="H31:H39" si="21">SQRT(F31*4*1000/3/60/3.14)</f>
        <v>34.344191248551816</v>
      </c>
    </row>
    <row r="32" spans="1:31" ht="19.5" customHeight="1" x14ac:dyDescent="0.25">
      <c r="A32" s="13" t="s">
        <v>59</v>
      </c>
      <c r="B32" s="20">
        <f>G26</f>
        <v>10000</v>
      </c>
      <c r="C32" s="4">
        <f t="shared" si="18"/>
        <v>460.7756775840914</v>
      </c>
      <c r="D32" s="4">
        <f t="shared" si="19"/>
        <v>266.0289614892074</v>
      </c>
      <c r="E32" s="13" t="s">
        <v>69</v>
      </c>
      <c r="F32" s="17">
        <f>B4*1000*1.1/60</f>
        <v>91.666666666666671</v>
      </c>
      <c r="G32" s="4">
        <f t="shared" si="20"/>
        <v>44.115912431380359</v>
      </c>
      <c r="H32" s="4">
        <f t="shared" si="21"/>
        <v>25.470333917803408</v>
      </c>
      <c r="X32" s="10"/>
      <c r="Y32" s="10"/>
      <c r="Z32" s="10"/>
      <c r="AB32" s="11"/>
      <c r="AC32" s="11"/>
      <c r="AD32" s="11"/>
      <c r="AE32" s="11"/>
    </row>
    <row r="33" spans="1:31" ht="19.5" customHeight="1" x14ac:dyDescent="0.25">
      <c r="A33" s="13" t="s">
        <v>60</v>
      </c>
      <c r="B33" s="13">
        <f>D5*1000/60/4</f>
        <v>6.25</v>
      </c>
      <c r="C33" s="4">
        <f t="shared" si="18"/>
        <v>11.519391939602285</v>
      </c>
      <c r="D33" s="4">
        <f t="shared" si="19"/>
        <v>6.6507240372301846</v>
      </c>
      <c r="E33" s="13" t="s">
        <v>70</v>
      </c>
      <c r="F33" s="17">
        <f>10000/60</f>
        <v>166.66666666666666</v>
      </c>
      <c r="G33" s="4">
        <f t="shared" si="20"/>
        <v>59.485884187354138</v>
      </c>
      <c r="H33" s="4">
        <f t="shared" si="21"/>
        <v>34.344191248551816</v>
      </c>
      <c r="X33" s="19"/>
      <c r="Y33" s="19"/>
      <c r="Z33" s="19"/>
      <c r="AB33" s="19"/>
      <c r="AC33" s="19"/>
      <c r="AD33" s="19"/>
      <c r="AE33" s="19"/>
    </row>
    <row r="34" spans="1:31" ht="18.75" customHeight="1" x14ac:dyDescent="0.25">
      <c r="A34" s="13" t="s">
        <v>61</v>
      </c>
      <c r="B34" s="13">
        <f>D6*1000/60</f>
        <v>300</v>
      </c>
      <c r="C34" s="4">
        <f t="shared" si="18"/>
        <v>79.808688446762218</v>
      </c>
      <c r="D34" s="4">
        <f t="shared" si="19"/>
        <v>46.077567758409138</v>
      </c>
      <c r="E34" s="13" t="s">
        <v>75</v>
      </c>
      <c r="F34" s="17">
        <f>B4*1000*1.1/60</f>
        <v>91.666666666666671</v>
      </c>
      <c r="G34" s="4">
        <f t="shared" si="20"/>
        <v>44.115912431380359</v>
      </c>
      <c r="H34" s="4">
        <f t="shared" si="21"/>
        <v>25.470333917803408</v>
      </c>
      <c r="X34" s="19"/>
      <c r="Y34" s="19"/>
      <c r="Z34" s="19"/>
      <c r="AB34" s="19"/>
      <c r="AC34" s="19"/>
      <c r="AD34" s="19"/>
      <c r="AE34" s="19"/>
    </row>
    <row r="35" spans="1:31" x14ac:dyDescent="0.25">
      <c r="A35" s="13" t="s">
        <v>62</v>
      </c>
      <c r="B35" s="17">
        <f>D7*1000/60/4</f>
        <v>6.25</v>
      </c>
      <c r="C35" s="4">
        <f t="shared" si="18"/>
        <v>11.519391939602285</v>
      </c>
      <c r="D35" s="4">
        <f t="shared" si="19"/>
        <v>6.6507240372301846</v>
      </c>
      <c r="E35" s="13" t="s">
        <v>71</v>
      </c>
      <c r="F35" s="17">
        <f>10000/60</f>
        <v>166.66666666666666</v>
      </c>
      <c r="G35" s="4">
        <f t="shared" si="20"/>
        <v>59.485884187354138</v>
      </c>
      <c r="H35" s="4">
        <f t="shared" si="21"/>
        <v>34.344191248551816</v>
      </c>
      <c r="Y35" s="4"/>
      <c r="Z35" s="4"/>
      <c r="AB35" s="4"/>
      <c r="AD35" s="4"/>
    </row>
    <row r="36" spans="1:31" x14ac:dyDescent="0.25">
      <c r="A36" s="14" t="s">
        <v>63</v>
      </c>
      <c r="B36" s="17">
        <f>D7*1000/60/15</f>
        <v>1.6666666666666667</v>
      </c>
      <c r="C36" s="4">
        <f t="shared" si="18"/>
        <v>5.9485884187354134</v>
      </c>
      <c r="D36" s="4">
        <f t="shared" si="19"/>
        <v>3.4344191248551814</v>
      </c>
      <c r="E36" s="14" t="s">
        <v>41</v>
      </c>
      <c r="F36" s="17">
        <f>10000/60</f>
        <v>166.66666666666666</v>
      </c>
      <c r="G36" s="4">
        <f t="shared" si="20"/>
        <v>59.485884187354138</v>
      </c>
      <c r="H36" s="4">
        <f t="shared" si="21"/>
        <v>34.344191248551816</v>
      </c>
      <c r="X36" s="3"/>
      <c r="Y36" s="4"/>
      <c r="Z36" s="4"/>
      <c r="AB36" s="4"/>
      <c r="AD36" s="4"/>
    </row>
    <row r="37" spans="1:31" x14ac:dyDescent="0.25">
      <c r="A37" s="13" t="s">
        <v>64</v>
      </c>
      <c r="B37" s="17">
        <f>D7*1000/60/4</f>
        <v>6.25</v>
      </c>
      <c r="C37" s="4">
        <f t="shared" si="18"/>
        <v>11.519391939602285</v>
      </c>
      <c r="D37" s="4">
        <f t="shared" si="19"/>
        <v>6.6507240372301846</v>
      </c>
      <c r="E37" s="13" t="s">
        <v>72</v>
      </c>
      <c r="F37" s="17">
        <f>B4*1000/5/60</f>
        <v>16.666666666666668</v>
      </c>
      <c r="G37" s="4">
        <f t="shared" si="20"/>
        <v>18.811088266103344</v>
      </c>
      <c r="H37" s="4">
        <f t="shared" si="21"/>
        <v>10.860586874184577</v>
      </c>
      <c r="X37" s="3"/>
      <c r="Y37" s="4"/>
      <c r="Z37" s="4"/>
      <c r="AB37" s="4"/>
      <c r="AD37" s="4"/>
    </row>
    <row r="38" spans="1:31" x14ac:dyDescent="0.25">
      <c r="A38" s="13" t="s">
        <v>65</v>
      </c>
      <c r="B38" s="17">
        <f>B4*1000/60</f>
        <v>83.333333333333329</v>
      </c>
      <c r="C38" s="4">
        <f t="shared" si="18"/>
        <v>42.062872093755729</v>
      </c>
      <c r="D38" s="4">
        <f t="shared" si="19"/>
        <v>24.28501052621867</v>
      </c>
      <c r="E38" s="13" t="s">
        <v>73</v>
      </c>
      <c r="F38" s="17">
        <f>10000/60</f>
        <v>166.66666666666666</v>
      </c>
      <c r="G38" s="4">
        <f t="shared" si="20"/>
        <v>59.485884187354138</v>
      </c>
      <c r="H38" s="4">
        <f t="shared" si="21"/>
        <v>34.344191248551816</v>
      </c>
      <c r="X38" s="3"/>
      <c r="Y38" s="4"/>
      <c r="Z38" s="4"/>
      <c r="AB38" s="4"/>
      <c r="AD38" s="4"/>
    </row>
    <row r="39" spans="1:31" x14ac:dyDescent="0.25">
      <c r="A39" s="13" t="s">
        <v>66</v>
      </c>
      <c r="B39" s="17">
        <f>B4*1000/60/4</f>
        <v>20.833333333333332</v>
      </c>
      <c r="C39" s="4">
        <f t="shared" si="18"/>
        <v>21.031436046877864</v>
      </c>
      <c r="D39" s="4">
        <f t="shared" si="19"/>
        <v>12.142505263109335</v>
      </c>
      <c r="E39" s="13" t="s">
        <v>42</v>
      </c>
      <c r="F39" s="17">
        <f>10000/60</f>
        <v>166.66666666666666</v>
      </c>
      <c r="G39" s="4">
        <f t="shared" si="20"/>
        <v>59.485884187354138</v>
      </c>
      <c r="H39" s="4">
        <f t="shared" si="21"/>
        <v>34.344191248551816</v>
      </c>
      <c r="X39" s="3"/>
      <c r="Y39" s="4"/>
      <c r="Z39" s="4"/>
      <c r="AB39" s="4"/>
      <c r="AD39" s="4"/>
    </row>
    <row r="40" spans="1:31" x14ac:dyDescent="0.25">
      <c r="A40" s="13" t="s">
        <v>67</v>
      </c>
      <c r="B40" s="17">
        <f>B4*1000/60</f>
        <v>83.333333333333329</v>
      </c>
      <c r="C40" s="4">
        <f t="shared" si="18"/>
        <v>42.062872093755729</v>
      </c>
      <c r="D40" s="4">
        <f t="shared" si="19"/>
        <v>24.28501052621867</v>
      </c>
      <c r="E40" s="13"/>
      <c r="F40" s="13"/>
      <c r="G40" s="4"/>
      <c r="H40" s="4"/>
      <c r="X40" s="3"/>
      <c r="Y40" s="4"/>
      <c r="Z40" s="4"/>
      <c r="AB40" s="4"/>
      <c r="AD40" s="4"/>
    </row>
    <row r="41" spans="1:31" x14ac:dyDescent="0.25">
      <c r="X41" s="3"/>
      <c r="Y41" s="4"/>
      <c r="Z41" s="4"/>
      <c r="AB41" s="4"/>
      <c r="AD41" s="4"/>
    </row>
    <row r="42" spans="1:31" x14ac:dyDescent="0.25">
      <c r="X42" s="3"/>
      <c r="Y42" s="4"/>
      <c r="Z42" s="4"/>
      <c r="AB42" s="4"/>
      <c r="AD42" s="4"/>
    </row>
    <row r="43" spans="1:31" x14ac:dyDescent="0.25">
      <c r="X43" s="3"/>
      <c r="Y43" s="4"/>
      <c r="Z43" s="4"/>
      <c r="AB43" s="4"/>
      <c r="AD43" s="4"/>
    </row>
    <row r="44" spans="1:31" x14ac:dyDescent="0.25">
      <c r="X44" s="3"/>
      <c r="Y44" s="4"/>
      <c r="Z44" s="4"/>
      <c r="AB44" s="4"/>
      <c r="AD44" s="4"/>
    </row>
    <row r="45" spans="1:31" x14ac:dyDescent="0.25">
      <c r="X45" s="3"/>
      <c r="Y45" s="4"/>
      <c r="Z45" s="4"/>
      <c r="AB45" s="4"/>
      <c r="AD45" s="4"/>
    </row>
    <row r="46" spans="1:31" x14ac:dyDescent="0.25">
      <c r="X46" s="3"/>
      <c r="Y46" s="4"/>
      <c r="Z46" s="4"/>
      <c r="AB46" s="4"/>
      <c r="AD46" s="4"/>
    </row>
    <row r="47" spans="1:31" x14ac:dyDescent="0.25">
      <c r="X47" s="3"/>
      <c r="Y47" s="4"/>
      <c r="Z47" s="4"/>
      <c r="AB47" s="4"/>
      <c r="AD47" s="4"/>
    </row>
    <row r="48" spans="1:31" x14ac:dyDescent="0.25">
      <c r="X48" s="3"/>
      <c r="Y48" s="4"/>
      <c r="Z48" s="4"/>
      <c r="AB48" s="4"/>
      <c r="AD48" s="4"/>
    </row>
    <row r="49" spans="24:30" x14ac:dyDescent="0.25">
      <c r="X49" s="3"/>
      <c r="Y49" s="4"/>
      <c r="Z49" s="4"/>
      <c r="AB49" s="4"/>
      <c r="AD49" s="4"/>
    </row>
    <row r="50" spans="24:30" x14ac:dyDescent="0.25">
      <c r="Y50" s="4"/>
      <c r="Z50" s="4"/>
      <c r="AB50" s="4"/>
      <c r="AD50" s="4"/>
    </row>
    <row r="51" spans="24:30" x14ac:dyDescent="0.25">
      <c r="Y51" s="4"/>
      <c r="Z51" s="4"/>
      <c r="AB51" s="4"/>
      <c r="AD51" s="4"/>
    </row>
    <row r="52" spans="24:30" x14ac:dyDescent="0.25">
      <c r="Y52" s="4"/>
      <c r="Z52" s="4"/>
      <c r="AB52" s="4"/>
      <c r="AD52" s="4"/>
    </row>
    <row r="53" spans="24:30" x14ac:dyDescent="0.25">
      <c r="Y53" s="4"/>
      <c r="Z53" s="4"/>
      <c r="AB53" s="4"/>
      <c r="AD53" s="4"/>
    </row>
    <row r="54" spans="24:30" x14ac:dyDescent="0.25">
      <c r="Y54" s="4"/>
      <c r="Z54" s="4"/>
      <c r="AB54" s="4"/>
      <c r="AD54" s="4"/>
    </row>
    <row r="55" spans="24:30" x14ac:dyDescent="0.25">
      <c r="Y55" s="4"/>
      <c r="Z55" s="4"/>
      <c r="AB55" s="4"/>
      <c r="AD55" s="4"/>
    </row>
    <row r="56" spans="24:30" x14ac:dyDescent="0.25">
      <c r="Y56" s="4"/>
      <c r="Z56" s="4"/>
      <c r="AB56" s="4"/>
      <c r="AD56" s="4"/>
    </row>
    <row r="57" spans="24:30" x14ac:dyDescent="0.25">
      <c r="Y57" s="4"/>
      <c r="Z57" s="4"/>
      <c r="AB57" s="4"/>
      <c r="AD57" s="4"/>
    </row>
    <row r="58" spans="24:30" x14ac:dyDescent="0.25">
      <c r="Y58" s="4"/>
      <c r="Z58" s="4"/>
      <c r="AB58" s="4"/>
      <c r="AD58" s="4"/>
    </row>
    <row r="59" spans="24:30" x14ac:dyDescent="0.25">
      <c r="Y59" s="4"/>
      <c r="Z59" s="4"/>
      <c r="AB59" s="4"/>
      <c r="AD59" s="4"/>
    </row>
    <row r="61" spans="24:30" x14ac:dyDescent="0.25">
      <c r="Y61" s="4"/>
      <c r="Z61" s="4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sqref="A1:D1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x14ac:dyDescent="0.25">
      <c r="A1" s="27" t="s">
        <v>18</v>
      </c>
      <c r="B1" s="27"/>
      <c r="C1" s="27"/>
      <c r="D1" s="27"/>
      <c r="E1">
        <v>200</v>
      </c>
    </row>
    <row r="2" spans="1:16" ht="30" x14ac:dyDescent="0.25">
      <c r="A2" s="26" t="s">
        <v>112</v>
      </c>
      <c r="B2" s="23"/>
      <c r="C2" s="23"/>
      <c r="D2" s="23"/>
    </row>
    <row r="3" spans="1:16" x14ac:dyDescent="0.25">
      <c r="A3" t="s">
        <v>33</v>
      </c>
      <c r="B3">
        <v>100000</v>
      </c>
      <c r="C3" t="s">
        <v>34</v>
      </c>
    </row>
    <row r="4" spans="1:16" ht="60" x14ac:dyDescent="0.25">
      <c r="A4" s="23" t="s">
        <v>107</v>
      </c>
      <c r="B4" s="23" t="s">
        <v>32</v>
      </c>
      <c r="C4" s="23" t="s">
        <v>2</v>
      </c>
      <c r="D4" s="23" t="s">
        <v>3</v>
      </c>
      <c r="E4" s="23" t="s">
        <v>4</v>
      </c>
      <c r="F4" s="23" t="s">
        <v>8</v>
      </c>
      <c r="G4" s="23" t="s">
        <v>106</v>
      </c>
      <c r="H4" s="23" t="s">
        <v>11</v>
      </c>
      <c r="I4" s="23" t="s">
        <v>110</v>
      </c>
      <c r="J4" s="9" t="s">
        <v>10</v>
      </c>
      <c r="K4" s="23" t="s">
        <v>43</v>
      </c>
      <c r="L4" s="23" t="s">
        <v>45</v>
      </c>
      <c r="M4" s="23" t="s">
        <v>44</v>
      </c>
      <c r="N4" s="23" t="s">
        <v>46</v>
      </c>
    </row>
    <row r="5" spans="1:16" x14ac:dyDescent="0.25">
      <c r="A5" s="2" t="s">
        <v>0</v>
      </c>
      <c r="B5">
        <v>7500</v>
      </c>
      <c r="C5">
        <v>2400</v>
      </c>
      <c r="D5" s="3">
        <f>SQRT(B5*4/C5/3.14159)*1000</f>
        <v>1994.7122444380184</v>
      </c>
      <c r="E5">
        <v>2000</v>
      </c>
      <c r="F5" s="3">
        <v>4</v>
      </c>
      <c r="G5" s="3">
        <f>3.14159*E5*C5*F5*7.85/1000000</f>
        <v>473.50044479999991</v>
      </c>
      <c r="H5" s="3">
        <f>E5*E5*1.22*1.22*F5*7.85*2/1000000</f>
        <v>373.88607999999999</v>
      </c>
      <c r="I5" s="3">
        <f>G5*0.05</f>
        <v>23.675022239999997</v>
      </c>
      <c r="J5" s="6">
        <f>(G5+H5+I5)*E1</f>
        <v>174212.309408</v>
      </c>
      <c r="K5" s="4">
        <f t="shared" ref="K5:K14" si="0">G5+H5+I5</f>
        <v>871.06154703999994</v>
      </c>
      <c r="L5" s="4">
        <f>K5*0.8</f>
        <v>696.84923763200004</v>
      </c>
      <c r="M5" s="4">
        <f>K5+L5</f>
        <v>1567.9107846719999</v>
      </c>
      <c r="N5" s="4">
        <f>M5</f>
        <v>1567.9107846719999</v>
      </c>
    </row>
    <row r="6" spans="1:16" x14ac:dyDescent="0.25">
      <c r="A6" t="s">
        <v>21</v>
      </c>
      <c r="B6">
        <v>30000</v>
      </c>
      <c r="C6">
        <v>4000</v>
      </c>
      <c r="D6" s="3">
        <f>SQRT(B6*4/C6/3.14159)*1000</f>
        <v>3090.194921273785</v>
      </c>
      <c r="E6">
        <v>3000</v>
      </c>
      <c r="F6" s="3">
        <v>8</v>
      </c>
      <c r="G6" s="3">
        <f>3.14159*E6*C6*F6*7.85*2/1000000</f>
        <v>4735.0044479999997</v>
      </c>
      <c r="H6" s="3">
        <f>E6*E6*1.22*1.22*F6*7.85*2/1000000</f>
        <v>1682.4873600000001</v>
      </c>
      <c r="I6" s="3">
        <f>G6*0.05</f>
        <v>236.75022239999998</v>
      </c>
      <c r="J6" s="6">
        <f>(G6+H6+I6)*E1</f>
        <v>1330848.4060799999</v>
      </c>
      <c r="K6" s="4">
        <f t="shared" si="0"/>
        <v>6654.2420303999997</v>
      </c>
      <c r="L6" s="4">
        <f t="shared" ref="L6:L14" si="1">K6*0.8</f>
        <v>5323.3936243200005</v>
      </c>
      <c r="M6" s="4">
        <f t="shared" ref="M6:M14" si="2">K6+L6</f>
        <v>11977.635654720001</v>
      </c>
      <c r="N6" s="4">
        <f t="shared" ref="N6:N14" si="3">M6</f>
        <v>11977.635654720001</v>
      </c>
    </row>
    <row r="7" spans="1:16" x14ac:dyDescent="0.25">
      <c r="A7" t="s">
        <v>5</v>
      </c>
      <c r="B7" s="3">
        <f>3.14159*C7*E7*E7/4000000</f>
        <v>248.87283281250001</v>
      </c>
      <c r="C7">
        <v>3000</v>
      </c>
      <c r="D7" s="3"/>
      <c r="E7">
        <v>325</v>
      </c>
      <c r="F7" s="3">
        <v>6</v>
      </c>
      <c r="G7" s="3">
        <f>3.14159*E7*C7*F7*7.85/1000000</f>
        <v>144.26966677500002</v>
      </c>
      <c r="H7" s="3">
        <f>E7*E7*1.22*1.22*F7*7.85/1000000</f>
        <v>7.4046969749999993</v>
      </c>
      <c r="I7" s="3">
        <f>G7*0.3</f>
        <v>43.280900032500007</v>
      </c>
      <c r="J7" s="6">
        <f>(G7+H7+I7)*E1*1.5</f>
        <v>58486.579134750013</v>
      </c>
      <c r="K7" s="4">
        <f t="shared" si="0"/>
        <v>194.95526378250003</v>
      </c>
      <c r="L7" s="4">
        <f t="shared" si="1"/>
        <v>155.96421102600004</v>
      </c>
      <c r="M7" s="4">
        <f t="shared" si="2"/>
        <v>350.91947480850007</v>
      </c>
      <c r="N7" s="4">
        <f t="shared" si="3"/>
        <v>350.91947480850007</v>
      </c>
    </row>
    <row r="8" spans="1:16" x14ac:dyDescent="0.25">
      <c r="A8" t="s">
        <v>22</v>
      </c>
      <c r="B8">
        <v>3000</v>
      </c>
      <c r="C8">
        <v>1800</v>
      </c>
      <c r="D8" s="3">
        <f>SQRT(B8*4/C8/3.14159)*1000</f>
        <v>1456.7318560139486</v>
      </c>
      <c r="E8">
        <v>1500</v>
      </c>
      <c r="F8" s="3">
        <v>6</v>
      </c>
      <c r="G8" s="3">
        <f>3.14159*E8*C8*F8*7.85/1000000</f>
        <v>399.51600029999997</v>
      </c>
      <c r="H8" s="3">
        <f>E8*E8*1.22*1.22*F8*7.85*2/1000000</f>
        <v>315.46638000000002</v>
      </c>
      <c r="I8" s="3">
        <f>G8*0.05</f>
        <v>19.975800015000001</v>
      </c>
      <c r="J8" s="6">
        <f>(G8+H8+I8)*E1</f>
        <v>146991.63606299998</v>
      </c>
      <c r="K8" s="4">
        <f t="shared" si="0"/>
        <v>734.95818031499994</v>
      </c>
      <c r="L8" s="4">
        <f t="shared" si="1"/>
        <v>587.96654425199995</v>
      </c>
      <c r="M8" s="4">
        <f t="shared" si="2"/>
        <v>1322.9247245669999</v>
      </c>
      <c r="N8" s="4">
        <f t="shared" si="3"/>
        <v>1322.9247245669999</v>
      </c>
    </row>
    <row r="9" spans="1:16" x14ac:dyDescent="0.25">
      <c r="A9" t="s">
        <v>6</v>
      </c>
      <c r="B9">
        <v>15000</v>
      </c>
      <c r="C9" s="7">
        <v>3000</v>
      </c>
      <c r="D9" s="3">
        <f>SQRT(B9*4/C9/3.14159)*1000</f>
        <v>2523.1335876202693</v>
      </c>
      <c r="E9">
        <v>2500</v>
      </c>
      <c r="F9" s="3">
        <v>8</v>
      </c>
      <c r="G9" s="3">
        <f>3.14159*E9*C9*F9*7.85*2/1000000</f>
        <v>2959.3777799999998</v>
      </c>
      <c r="H9" s="3">
        <f>E9*E9*1.22*1.22*F9*7.85*2/1000000</f>
        <v>1168.394</v>
      </c>
      <c r="I9" s="3">
        <f>G9*0.1</f>
        <v>295.93777799999998</v>
      </c>
      <c r="J9" s="6">
        <f>(G9+H9+I9)*E1</f>
        <v>884741.91160000011</v>
      </c>
      <c r="K9" s="4">
        <f t="shared" si="0"/>
        <v>4423.7095580000005</v>
      </c>
      <c r="L9" s="4">
        <f t="shared" si="1"/>
        <v>3538.9676464000004</v>
      </c>
      <c r="M9" s="4">
        <f t="shared" si="2"/>
        <v>7962.6772044000008</v>
      </c>
      <c r="N9" s="4">
        <f t="shared" si="3"/>
        <v>7962.6772044000008</v>
      </c>
    </row>
    <row r="10" spans="1:16" x14ac:dyDescent="0.25">
      <c r="A10" t="s">
        <v>23</v>
      </c>
      <c r="B10" s="3">
        <f>3.14159*C10*E10*E10/4000000</f>
        <v>497.74566562500002</v>
      </c>
      <c r="C10" s="7">
        <v>6000</v>
      </c>
      <c r="D10" s="3"/>
      <c r="E10">
        <v>325</v>
      </c>
      <c r="F10" s="3">
        <v>6</v>
      </c>
      <c r="G10" s="3">
        <f>3.14159*E10*C10*F10*7.85/1000000</f>
        <v>288.53933355000004</v>
      </c>
      <c r="H10" s="3">
        <f>E10*E10*1.22*1.22*F10*7.85/1000000</f>
        <v>7.4046969749999993</v>
      </c>
      <c r="I10" s="3">
        <f>G10*0.3</f>
        <v>86.561800065000014</v>
      </c>
      <c r="J10" s="6">
        <f>(G10+H10+I10)*E1</f>
        <v>76501.166118000008</v>
      </c>
      <c r="K10" s="4">
        <f t="shared" si="0"/>
        <v>382.50583059000002</v>
      </c>
      <c r="L10" s="4">
        <f t="shared" si="1"/>
        <v>306.004664472</v>
      </c>
      <c r="M10" s="4">
        <f t="shared" si="2"/>
        <v>688.51049506200002</v>
      </c>
      <c r="N10" s="4">
        <f t="shared" si="3"/>
        <v>688.51049506200002</v>
      </c>
    </row>
    <row r="11" spans="1:16" x14ac:dyDescent="0.25">
      <c r="A11" t="s">
        <v>7</v>
      </c>
      <c r="B11">
        <v>7500</v>
      </c>
      <c r="C11" s="7">
        <v>2400</v>
      </c>
      <c r="D11" s="3">
        <f>SQRT(B11*4/C11/3.14159)*1000</f>
        <v>1994.7122444380184</v>
      </c>
      <c r="E11">
        <v>2000</v>
      </c>
      <c r="F11" s="3">
        <v>6</v>
      </c>
      <c r="G11" s="3">
        <f>3.14159*E11*C11*F11*7.85/1000000</f>
        <v>710.25066719999984</v>
      </c>
      <c r="H11" s="3">
        <f>E11*E11*1.22*1.22*F11*7.85*2/1000000</f>
        <v>560.82911999999999</v>
      </c>
      <c r="I11" s="3">
        <f t="shared" ref="I11:I12" si="4">G11*0.1</f>
        <v>71.025066719999984</v>
      </c>
      <c r="J11" s="6">
        <f>(G11+H11+I11)*E1</f>
        <v>268420.97078399995</v>
      </c>
      <c r="K11" s="4">
        <f t="shared" si="0"/>
        <v>1342.1048539199999</v>
      </c>
      <c r="L11" s="4">
        <f t="shared" si="1"/>
        <v>1073.6838831359998</v>
      </c>
      <c r="M11" s="4">
        <f t="shared" si="2"/>
        <v>2415.7887370559997</v>
      </c>
      <c r="N11" s="4">
        <f t="shared" si="3"/>
        <v>2415.7887370559997</v>
      </c>
    </row>
    <row r="12" spans="1:16" x14ac:dyDescent="0.25">
      <c r="A12" t="s">
        <v>24</v>
      </c>
      <c r="B12">
        <v>15000</v>
      </c>
      <c r="C12" s="7">
        <v>4000</v>
      </c>
      <c r="D12" s="3">
        <f>SQRT(B12*4/C12/3.14159)*1000</f>
        <v>2185.0977840209225</v>
      </c>
      <c r="E12">
        <v>2200</v>
      </c>
      <c r="F12" s="3">
        <v>8</v>
      </c>
      <c r="G12" s="3">
        <f>3.14159*E12*C12*F12*7.85*2/1000000</f>
        <v>3472.3365951999999</v>
      </c>
      <c r="H12" s="3">
        <f>E12*E12*1.22*1.22*F12*7.85*2/1000000</f>
        <v>904.80431359999989</v>
      </c>
      <c r="I12" s="3">
        <f t="shared" si="4"/>
        <v>347.23365952</v>
      </c>
      <c r="J12" s="6">
        <f>(G12+H12+I12)*E1</f>
        <v>944874.91366400011</v>
      </c>
      <c r="K12" s="4">
        <f t="shared" si="0"/>
        <v>4724.3745683200004</v>
      </c>
      <c r="L12" s="4">
        <f t="shared" si="1"/>
        <v>3779.4996546560005</v>
      </c>
      <c r="M12" s="4">
        <f t="shared" si="2"/>
        <v>8503.874222976001</v>
      </c>
      <c r="N12" s="4">
        <f t="shared" si="3"/>
        <v>8503.874222976001</v>
      </c>
    </row>
    <row r="13" spans="1:16" x14ac:dyDescent="0.25">
      <c r="A13" t="s">
        <v>25</v>
      </c>
      <c r="B13" s="3">
        <f>3.14159*C13*E13*E13/4000000</f>
        <v>497.74566562500002</v>
      </c>
      <c r="C13" s="7">
        <v>6000</v>
      </c>
      <c r="D13" s="3"/>
      <c r="E13">
        <v>325</v>
      </c>
      <c r="F13" s="3">
        <v>6</v>
      </c>
      <c r="G13" s="3">
        <f>3.14159*E13*C13*F13*7.85/1000000</f>
        <v>288.53933355000004</v>
      </c>
      <c r="H13" s="3">
        <f>E13*E13*1.22*1.22*F13*7.85/1000000</f>
        <v>7.4046969749999993</v>
      </c>
      <c r="I13" s="3">
        <f>G13*0.3</f>
        <v>86.561800065000014</v>
      </c>
      <c r="J13" s="6">
        <f>(G13+H13+I13)*E1</f>
        <v>76501.166118000008</v>
      </c>
      <c r="K13" s="4">
        <f t="shared" si="0"/>
        <v>382.50583059000002</v>
      </c>
      <c r="L13" s="4">
        <f t="shared" si="1"/>
        <v>306.004664472</v>
      </c>
      <c r="M13" s="4">
        <f t="shared" si="2"/>
        <v>688.51049506200002</v>
      </c>
      <c r="N13" s="4">
        <f t="shared" si="3"/>
        <v>688.51049506200002</v>
      </c>
    </row>
    <row r="14" spans="1:16" x14ac:dyDescent="0.25">
      <c r="A14" t="s">
        <v>26</v>
      </c>
      <c r="B14">
        <v>7500</v>
      </c>
      <c r="C14" s="7">
        <v>2400</v>
      </c>
      <c r="D14" s="3">
        <f>SQRT(B14*4/C14/3.14159)*1000</f>
        <v>1994.7122444380184</v>
      </c>
      <c r="E14">
        <v>2000</v>
      </c>
      <c r="F14" s="3">
        <v>8</v>
      </c>
      <c r="G14" s="3">
        <f>3.14159*E14*C14*F14*7.85/1000000</f>
        <v>947.00088959999982</v>
      </c>
      <c r="H14" s="3">
        <f>E14*E14*1.22*1.22*F14*7.85*2/1000000</f>
        <v>747.77215999999999</v>
      </c>
      <c r="I14" s="3">
        <f t="shared" ref="I14" si="5">G14*0.1</f>
        <v>94.700088959999988</v>
      </c>
      <c r="J14" s="6">
        <f>(G14+H14+I14)*E1</f>
        <v>357894.62771199999</v>
      </c>
      <c r="K14" s="4">
        <f t="shared" si="0"/>
        <v>1789.4731385599998</v>
      </c>
      <c r="L14" s="4">
        <f t="shared" si="1"/>
        <v>1431.578510848</v>
      </c>
      <c r="M14" s="4">
        <f t="shared" si="2"/>
        <v>3221.0516494079998</v>
      </c>
      <c r="N14" s="4">
        <f t="shared" si="3"/>
        <v>3221.0516494079998</v>
      </c>
    </row>
    <row r="15" spans="1:16" x14ac:dyDescent="0.25">
      <c r="A15" t="s">
        <v>111</v>
      </c>
      <c r="C15" s="7"/>
      <c r="D15" s="3"/>
      <c r="F15" s="3"/>
      <c r="G15" s="3"/>
      <c r="H15" s="3"/>
      <c r="I15" s="3"/>
      <c r="J15" s="6">
        <v>500000</v>
      </c>
      <c r="K15" s="8"/>
      <c r="L15" s="3"/>
      <c r="M15" s="4"/>
      <c r="N15" s="4"/>
      <c r="O15" s="4"/>
      <c r="P15" s="4"/>
    </row>
    <row r="16" spans="1:16" x14ac:dyDescent="0.25">
      <c r="C16" s="7"/>
      <c r="D16" s="3"/>
      <c r="F16" s="3"/>
      <c r="G16" s="3"/>
      <c r="H16" s="3"/>
      <c r="I16" s="3"/>
      <c r="J16" s="6"/>
      <c r="K16" s="8"/>
      <c r="L16" s="3"/>
      <c r="M16" s="4"/>
      <c r="N16" s="4"/>
      <c r="O16" s="4"/>
      <c r="P16" s="4"/>
    </row>
    <row r="17" spans="1:15" x14ac:dyDescent="0.25">
      <c r="C17" s="7"/>
      <c r="D17" s="3"/>
      <c r="F17" s="4"/>
      <c r="G17" s="4"/>
      <c r="H17" s="4"/>
      <c r="I17" s="4" t="s">
        <v>12</v>
      </c>
      <c r="J17" s="6">
        <f>SUM(J5:J15)</f>
        <v>4819473.6866817502</v>
      </c>
      <c r="K17" s="8"/>
      <c r="L17" s="3"/>
      <c r="M17" s="4"/>
      <c r="O17" s="4"/>
    </row>
    <row r="18" spans="1:15" x14ac:dyDescent="0.25">
      <c r="C18" s="7"/>
      <c r="D18" s="3"/>
      <c r="F18" s="4"/>
      <c r="G18" s="4"/>
      <c r="H18" s="4"/>
      <c r="I18" s="4"/>
      <c r="J18" s="6"/>
      <c r="K18" s="8"/>
      <c r="L18" s="3"/>
      <c r="M18" s="4"/>
      <c r="O18" s="4"/>
    </row>
    <row r="19" spans="1:15" x14ac:dyDescent="0.25">
      <c r="C19" s="7"/>
      <c r="D19" s="3"/>
      <c r="F19" s="4"/>
      <c r="G19" s="4"/>
      <c r="H19" s="4"/>
      <c r="I19" s="4"/>
      <c r="J19" s="6"/>
      <c r="K19" s="8"/>
      <c r="L19" s="3"/>
      <c r="M19" s="4"/>
      <c r="O19" s="4"/>
    </row>
    <row r="20" spans="1:15" x14ac:dyDescent="0.25">
      <c r="A20" s="25" t="s">
        <v>108</v>
      </c>
      <c r="C20" s="7"/>
      <c r="D20" s="3"/>
      <c r="F20" s="4"/>
      <c r="G20" s="4"/>
      <c r="H20" s="4"/>
      <c r="I20" s="4"/>
      <c r="J20" s="6"/>
      <c r="K20" s="8"/>
      <c r="L20" s="3"/>
      <c r="M20" s="4"/>
      <c r="O20" s="4"/>
    </row>
    <row r="21" spans="1:15" x14ac:dyDescent="0.25">
      <c r="A21" t="s">
        <v>37</v>
      </c>
      <c r="E21" t="s">
        <v>36</v>
      </c>
      <c r="F21">
        <f>B3*80/24*5</f>
        <v>1666666.6666666665</v>
      </c>
      <c r="G21">
        <v>2000000</v>
      </c>
      <c r="H21" s="4"/>
      <c r="I21" s="4"/>
      <c r="J21" s="6"/>
      <c r="K21" s="8"/>
      <c r="L21" s="3"/>
      <c r="M21" s="4"/>
      <c r="O21" s="4"/>
    </row>
    <row r="22" spans="1:15" x14ac:dyDescent="0.25">
      <c r="A22" t="s">
        <v>14</v>
      </c>
      <c r="E22" t="s">
        <v>17</v>
      </c>
      <c r="G22" s="3">
        <f>F21*0.2/3/60</f>
        <v>1851.8518518518517</v>
      </c>
      <c r="H22" s="4"/>
      <c r="I22" s="4"/>
      <c r="J22" s="6"/>
      <c r="K22" s="8"/>
      <c r="L22" s="3"/>
      <c r="M22" s="4"/>
      <c r="O22" s="4"/>
    </row>
    <row r="23" spans="1:15" x14ac:dyDescent="0.25">
      <c r="A23" s="23"/>
      <c r="B23" s="23"/>
      <c r="C23" s="23"/>
      <c r="D23" s="23"/>
      <c r="M23" s="4"/>
      <c r="O23" s="4"/>
    </row>
    <row r="24" spans="1:15" x14ac:dyDescent="0.25">
      <c r="C24" s="7"/>
      <c r="D24" s="3"/>
      <c r="F24" s="4"/>
      <c r="G24" s="4"/>
      <c r="H24" s="4"/>
      <c r="I24" s="4"/>
      <c r="J24" s="6"/>
      <c r="K24" s="8"/>
      <c r="L24" s="3"/>
    </row>
    <row r="25" spans="1:15" x14ac:dyDescent="0.25">
      <c r="A25" s="25" t="s">
        <v>109</v>
      </c>
    </row>
    <row r="26" spans="1:15" ht="45" x14ac:dyDescent="0.25">
      <c r="A26" s="23" t="s">
        <v>19</v>
      </c>
      <c r="B26" s="23" t="s">
        <v>35</v>
      </c>
    </row>
    <row r="27" spans="1:15" x14ac:dyDescent="0.25">
      <c r="A27" s="8" t="s">
        <v>27</v>
      </c>
      <c r="B27" s="3">
        <f>B3*0.95/16</f>
        <v>5937.5</v>
      </c>
    </row>
    <row r="28" spans="1:15" x14ac:dyDescent="0.25">
      <c r="A28" s="8" t="s">
        <v>28</v>
      </c>
      <c r="B28" s="3">
        <f>B3*0.15/16</f>
        <v>937.5</v>
      </c>
    </row>
    <row r="29" spans="1:15" x14ac:dyDescent="0.25">
      <c r="A29" s="8" t="s">
        <v>29</v>
      </c>
      <c r="B29" s="3">
        <f>B3*0.5/16</f>
        <v>3125</v>
      </c>
    </row>
    <row r="30" spans="1:15" x14ac:dyDescent="0.25">
      <c r="A30" s="8" t="s">
        <v>20</v>
      </c>
      <c r="B30" s="3">
        <f>B3*0.5/16</f>
        <v>3125</v>
      </c>
    </row>
    <row r="31" spans="1:15" x14ac:dyDescent="0.25">
      <c r="A31" s="8" t="s">
        <v>30</v>
      </c>
      <c r="B31" s="3">
        <f>B3*0.15/16</f>
        <v>937.5</v>
      </c>
    </row>
    <row r="32" spans="1:15" x14ac:dyDescent="0.25">
      <c r="A32" s="8" t="s">
        <v>31</v>
      </c>
      <c r="B32" s="3">
        <f>B3*0.5/16</f>
        <v>3125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2024-03-25T04:36:22Z</dcterms:modified>
</cp:coreProperties>
</file>